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64" yWindow="336" windowWidth="29316" windowHeight="12972"/>
  </bookViews>
  <sheets>
    <sheet name="étalonnage" sheetId="1" r:id="rId1"/>
  </sheets>
  <definedNames>
    <definedName name="b_0">étalonnage!$I$21</definedName>
    <definedName name="b_1">étalonnage!$H$21</definedName>
    <definedName name="Biais">étalonnage!$E$25</definedName>
    <definedName name="biais_2">étalonnage!$F$25</definedName>
    <definedName name="Cp">étalonnage!$D$28</definedName>
    <definedName name="Cpk">étalonnage!$D$29</definedName>
    <definedName name="EMT_1">étalonnage!$E$24</definedName>
    <definedName name="EMT_2">étalonnage!$F$24</definedName>
    <definedName name="q_1">étalonnage!$E$22</definedName>
    <definedName name="Sads">étalonnage!$E$27</definedName>
    <definedName name="Setalon">étalonnage!$E$26</definedName>
    <definedName name="Som_var">étalonnage!$H$50</definedName>
    <definedName name="_xlnm.Print_Area" localSheetId="0">étalonnage!$A$1:$L$51</definedName>
  </definedNames>
  <calcPr calcId="145621"/>
</workbook>
</file>

<file path=xl/calcChain.xml><?xml version="1.0" encoding="utf-8"?>
<calcChain xmlns="http://schemas.openxmlformats.org/spreadsheetml/2006/main">
  <c r="H21" i="1" l="1" a="1"/>
  <c r="H21" i="1" s="1"/>
  <c r="E25" i="1"/>
  <c r="I24" i="1" l="1"/>
  <c r="H24" i="1"/>
  <c r="I23" i="1"/>
  <c r="H23" i="1"/>
  <c r="I22" i="1"/>
  <c r="H22" i="1"/>
  <c r="I21" i="1"/>
  <c r="D46" i="1"/>
  <c r="L15" i="1" l="1"/>
  <c r="G46" i="1"/>
  <c r="D47" i="1"/>
  <c r="G47" i="1" l="1"/>
  <c r="H47" i="1" s="1"/>
  <c r="H46" i="1"/>
  <c r="E37" i="1" l="1"/>
  <c r="F37" i="1"/>
  <c r="G37" i="1"/>
  <c r="H37" i="1"/>
  <c r="I37" i="1"/>
  <c r="D37" i="1"/>
  <c r="E36" i="1"/>
  <c r="F36" i="1"/>
  <c r="G36" i="1"/>
  <c r="H36" i="1"/>
  <c r="I36" i="1"/>
  <c r="D36" i="1"/>
  <c r="D35" i="1"/>
  <c r="D22" i="1"/>
  <c r="D24" i="1" s="1"/>
  <c r="E22" i="1"/>
  <c r="E24" i="1" s="1"/>
  <c r="D49" i="1"/>
  <c r="G49" i="1" s="1"/>
  <c r="H49" i="1" s="1"/>
  <c r="E26" i="1"/>
  <c r="F26" i="1" s="1"/>
  <c r="E27" i="1"/>
  <c r="D25" i="1" l="1"/>
  <c r="J5" i="1"/>
  <c r="H16" i="1"/>
  <c r="F16" i="1"/>
  <c r="G16" i="1"/>
  <c r="I16" i="1"/>
  <c r="E16" i="1"/>
  <c r="E15" i="1"/>
  <c r="F27" i="1"/>
  <c r="D48" i="1"/>
  <c r="G48" i="1" s="1"/>
  <c r="H48" i="1" s="1"/>
  <c r="F23" i="1"/>
  <c r="D16" i="1"/>
  <c r="H15" i="1"/>
  <c r="I15" i="1"/>
  <c r="G15" i="1"/>
  <c r="D15" i="1"/>
  <c r="F15" i="1"/>
  <c r="D27" i="1"/>
  <c r="D26" i="1"/>
  <c r="E17" i="1" l="1"/>
  <c r="F17" i="1"/>
  <c r="G17" i="1"/>
  <c r="H17" i="1"/>
  <c r="I17" i="1"/>
  <c r="E29" i="1"/>
  <c r="K15" i="1"/>
  <c r="K10" i="1"/>
  <c r="D17" i="1"/>
  <c r="H50" i="1"/>
  <c r="I48" i="1" s="1"/>
  <c r="D38" i="1"/>
  <c r="D39" i="1" s="1"/>
  <c r="D34" i="1"/>
  <c r="F22" i="1"/>
  <c r="F24" i="1" s="1"/>
  <c r="E38" i="1"/>
  <c r="E39" i="1" s="1"/>
  <c r="F38" i="1"/>
  <c r="F39" i="1" s="1"/>
  <c r="G38" i="1"/>
  <c r="G39" i="1" s="1"/>
  <c r="H38" i="1"/>
  <c r="H39" i="1" s="1"/>
  <c r="I38" i="1"/>
  <c r="I39" i="1" s="1"/>
  <c r="E28" i="1"/>
  <c r="F28" i="1" s="1"/>
  <c r="F25" i="1" l="1"/>
  <c r="G50" i="1"/>
  <c r="D50" i="1" s="1"/>
  <c r="D51" i="1" s="1"/>
  <c r="I46" i="1"/>
  <c r="I47" i="1"/>
  <c r="I49" i="1"/>
  <c r="E41" i="1"/>
  <c r="E40" i="1"/>
  <c r="F41" i="1"/>
  <c r="G41" i="1"/>
  <c r="H41" i="1"/>
  <c r="F40" i="1"/>
  <c r="G40" i="1"/>
  <c r="I41" i="1"/>
  <c r="D41" i="1"/>
  <c r="H40" i="1"/>
  <c r="I40" i="1"/>
  <c r="I42" i="1" s="1"/>
  <c r="D40" i="1"/>
  <c r="G42" i="1" l="1"/>
  <c r="F42" i="1"/>
  <c r="E42" i="1"/>
  <c r="H42" i="1"/>
  <c r="D42" i="1"/>
  <c r="F29" i="1"/>
</calcChain>
</file>

<file path=xl/sharedStrings.xml><?xml version="1.0" encoding="utf-8"?>
<sst xmlns="http://schemas.openxmlformats.org/spreadsheetml/2006/main" count="103" uniqueCount="75">
  <si>
    <t xml:space="preserve">μ_FI  </t>
  </si>
  <si>
    <t>V</t>
  </si>
  <si>
    <t xml:space="preserve">σ_FI  </t>
  </si>
  <si>
    <t>N</t>
  </si>
  <si>
    <t xml:space="preserve">μ_ADS </t>
  </si>
  <si>
    <t>LSB</t>
  </si>
  <si>
    <t xml:space="preserve">σ_ADS </t>
  </si>
  <si>
    <t>b = x-X</t>
  </si>
  <si>
    <t>biais</t>
  </si>
  <si>
    <r>
      <t>C</t>
    </r>
    <r>
      <rPr>
        <sz val="8"/>
        <color theme="1"/>
        <rFont val="Calibri"/>
        <family val="2"/>
        <scheme val="minor"/>
      </rPr>
      <t>pk</t>
    </r>
  </si>
  <si>
    <r>
      <t>C</t>
    </r>
    <r>
      <rPr>
        <sz val="9"/>
        <color theme="1"/>
        <rFont val="Calibri"/>
        <family val="2"/>
        <scheme val="minor"/>
      </rPr>
      <t>p</t>
    </r>
  </si>
  <si>
    <t>Conforme</t>
  </si>
  <si>
    <t>Biais max</t>
  </si>
  <si>
    <t>uétalon (max)</t>
  </si>
  <si>
    <t>uADS115 (max)</t>
  </si>
  <si>
    <t>Cp (min)</t>
  </si>
  <si>
    <t>Cpk (min)</t>
  </si>
  <si>
    <t>EMT</t>
  </si>
  <si>
    <t>q</t>
  </si>
  <si>
    <t>offset</t>
  </si>
  <si>
    <t>Succés</t>
  </si>
  <si>
    <t>Constructeur</t>
  </si>
  <si>
    <t>Corrigé</t>
  </si>
  <si>
    <t>mV/LSB</t>
  </si>
  <si>
    <t>mV</t>
  </si>
  <si>
    <t>Correction proposée :</t>
  </si>
  <si>
    <r>
      <rPr>
        <sz val="14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corrigé</t>
    </r>
  </si>
  <si>
    <r>
      <rPr>
        <sz val="14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étalon</t>
    </r>
  </si>
  <si>
    <r>
      <rPr>
        <sz val="14"/>
        <color theme="1"/>
        <rFont val="Calibri"/>
        <family val="2"/>
        <scheme val="minor"/>
      </rPr>
      <t>u</t>
    </r>
    <r>
      <rPr>
        <sz val="8"/>
        <color theme="1"/>
        <rFont val="Calibri"/>
        <family val="2"/>
        <scheme val="minor"/>
      </rPr>
      <t>étalon</t>
    </r>
  </si>
  <si>
    <r>
      <rPr>
        <sz val="14"/>
        <color theme="1"/>
        <rFont val="Calibri"/>
        <family val="2"/>
        <scheme val="minor"/>
      </rPr>
      <t>Y</t>
    </r>
    <r>
      <rPr>
        <sz val="8"/>
        <color theme="1"/>
        <rFont val="Calibri"/>
        <family val="2"/>
        <scheme val="minor"/>
      </rPr>
      <t>ADS115</t>
    </r>
  </si>
  <si>
    <r>
      <rPr>
        <sz val="14"/>
        <color theme="1"/>
        <rFont val="Calibri"/>
        <family val="2"/>
        <scheme val="minor"/>
      </rPr>
      <t>x</t>
    </r>
    <r>
      <rPr>
        <sz val="8"/>
        <color theme="1"/>
        <rFont val="Calibri"/>
        <family val="2"/>
        <scheme val="minor"/>
      </rPr>
      <t>ADS1115</t>
    </r>
  </si>
  <si>
    <r>
      <rPr>
        <sz val="14"/>
        <color theme="1"/>
        <rFont val="Calibri"/>
        <family val="2"/>
        <scheme val="minor"/>
      </rPr>
      <t>u</t>
    </r>
    <r>
      <rPr>
        <sz val="8"/>
        <color theme="1"/>
        <rFont val="Calibri"/>
        <family val="2"/>
        <scheme val="minor"/>
      </rPr>
      <t>ADS115</t>
    </r>
  </si>
  <si>
    <r>
      <t>C</t>
    </r>
    <r>
      <rPr>
        <sz val="8"/>
        <color theme="1"/>
        <rFont val="Calibri"/>
        <family val="2"/>
        <scheme val="minor"/>
      </rPr>
      <t>p</t>
    </r>
  </si>
  <si>
    <t>Source d’incertitude</t>
  </si>
  <si>
    <t>Loi de
 probabilité</t>
  </si>
  <si>
    <t>Incertitude type 
s = u = U/k</t>
  </si>
  <si>
    <t>Variance
 s²=u²</t>
  </si>
  <si>
    <r>
      <rPr>
        <sz val="10"/>
        <color theme="1"/>
        <rFont val="Calibri"/>
        <family val="2"/>
        <scheme val="minor"/>
      </rPr>
      <t xml:space="preserve">Contribution </t>
    </r>
    <r>
      <rPr>
        <sz val="12"/>
        <color theme="1"/>
        <rFont val="Calibri"/>
        <family val="2"/>
        <scheme val="minor"/>
      </rPr>
      <t xml:space="preserve">
relative (%)</t>
    </r>
  </si>
  <si>
    <t>Étalon (type B)
FI2960MT</t>
  </si>
  <si>
    <t>Résolution</t>
  </si>
  <si>
    <r>
      <t>Rectangulaire
k=</t>
    </r>
    <r>
      <rPr>
        <sz val="12"/>
        <color theme="1"/>
        <rFont val="Symbol"/>
        <family val="1"/>
        <charset val="2"/>
      </rPr>
      <t>Ö</t>
    </r>
    <r>
      <rPr>
        <sz val="12"/>
        <color theme="1"/>
        <rFont val="Calibri"/>
        <family val="2"/>
        <scheme val="minor"/>
      </rPr>
      <t>3</t>
    </r>
  </si>
  <si>
    <t>Fidélité (type A)</t>
  </si>
  <si>
    <t>Normale</t>
  </si>
  <si>
    <t>Chaîne complète</t>
  </si>
  <si>
    <t>Incertitude élargie
 U (en mV)</t>
  </si>
  <si>
    <t>Justesse (type A)</t>
  </si>
  <si>
    <t>Rectangulaire</t>
  </si>
  <si>
    <t>Normale
k=3</t>
  </si>
  <si>
    <t>Désignation :</t>
  </si>
  <si>
    <t>Constructeur :</t>
  </si>
  <si>
    <t>Type :</t>
  </si>
  <si>
    <t>N° d'identification :</t>
  </si>
  <si>
    <t>Instrument de référence :</t>
  </si>
  <si>
    <t>Procédure utilisée :</t>
  </si>
  <si>
    <t>ADS1115</t>
  </si>
  <si>
    <t>CAN 16-Bit PGA 1 à 16</t>
  </si>
  <si>
    <t>Texas Instruments</t>
  </si>
  <si>
    <t>FI2960MT</t>
  </si>
  <si>
    <t>Nom :</t>
  </si>
  <si>
    <t>Date :</t>
  </si>
  <si>
    <t>PGA :</t>
  </si>
  <si>
    <t>EMT :</t>
  </si>
  <si>
    <t>Avant correction :</t>
  </si>
  <si>
    <t>Après correction :</t>
  </si>
  <si>
    <t xml:space="preserve">Ref : </t>
  </si>
  <si>
    <t>banc test LabVIEW CAN</t>
  </si>
  <si>
    <t>Conclusions</t>
  </si>
  <si>
    <t>Fidélité :</t>
  </si>
  <si>
    <t xml:space="preserve">Justesse : </t>
  </si>
  <si>
    <t>PV étalonnage CAN ADS1115 - 16 bits</t>
  </si>
  <si>
    <t>Incertitudes ADS115  sur gamme 0 à 4,096 V (PGA=1 et 99% - k=3)</t>
  </si>
  <si>
    <t>Conclusion sur la correction</t>
  </si>
  <si>
    <t>Conclusion sur les incertitudes</t>
  </si>
  <si>
    <t>TW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</si>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</sst>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0.0"/>
    <numFmt numFmtId="165" formatCode="0.000"/>
    <numFmt numFmtId="166" formatCode="0.0&quot; LSB&quot;"/>
    <numFmt numFmtId="167" formatCode="&quot;Cp = &quot;0.0"/>
    <numFmt numFmtId="168" formatCode="&quot;Biais = &quot;0.00&quot; mV&quot;"/>
    <numFmt numFmtId="169" formatCode="&quot;Cpk = &quot;0.0"/>
    <numFmt numFmtId="170" formatCode="0.0&quot; mV&quot;"/>
    <numFmt numFmtId="171" formatCode="0.0000"/>
    <numFmt numFmtId="172" formatCode="0.00000"/>
    <numFmt numFmtId="173" formatCode="0.0000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b/>
      <sz val="12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18" fillId="0" borderId="12" xfId="0" applyFont="1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7" xfId="0" applyBorder="1"/>
    <xf numFmtId="0" fontId="0" fillId="0" borderId="20" xfId="0" applyBorder="1"/>
    <xf numFmtId="0" fontId="0" fillId="0" borderId="17" xfId="0" applyBorder="1" applyAlignment="1">
      <alignment horizontal="center"/>
    </xf>
    <xf numFmtId="0" fontId="0" fillId="0" borderId="21" xfId="0" applyBorder="1"/>
    <xf numFmtId="0" fontId="18" fillId="0" borderId="22" xfId="0" applyFont="1" applyBorder="1"/>
    <xf numFmtId="0" fontId="20" fillId="0" borderId="23" xfId="0" applyFont="1" applyBorder="1"/>
    <xf numFmtId="0" fontId="0" fillId="0" borderId="23" xfId="0" applyBorder="1"/>
    <xf numFmtId="0" fontId="0" fillId="0" borderId="16" xfId="0" applyBorder="1"/>
    <xf numFmtId="0" fontId="22" fillId="0" borderId="10" xfId="0" applyFont="1" applyBorder="1" applyAlignment="1">
      <alignment horizontal="center"/>
    </xf>
    <xf numFmtId="0" fontId="22" fillId="0" borderId="10" xfId="0" applyFont="1" applyBorder="1"/>
    <xf numFmtId="164" fontId="22" fillId="0" borderId="10" xfId="0" applyNumberFormat="1" applyFont="1" applyBorder="1" applyAlignment="1">
      <alignment horizontal="center"/>
    </xf>
    <xf numFmtId="164" fontId="22" fillId="0" borderId="19" xfId="0" applyNumberFormat="1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164" fontId="0" fillId="0" borderId="16" xfId="0" applyNumberFormat="1" applyBorder="1"/>
    <xf numFmtId="164" fontId="0" fillId="0" borderId="10" xfId="0" applyNumberFormat="1" applyBorder="1"/>
    <xf numFmtId="0" fontId="23" fillId="0" borderId="13" xfId="0" applyFont="1" applyBorder="1" applyAlignment="1">
      <alignment horizontal="center"/>
    </xf>
    <xf numFmtId="1" fontId="23" fillId="0" borderId="16" xfId="0" applyNumberFormat="1" applyFont="1" applyBorder="1" applyAlignment="1">
      <alignment horizontal="center" vertical="center"/>
    </xf>
    <xf numFmtId="165" fontId="23" fillId="0" borderId="16" xfId="0" applyNumberFormat="1" applyFont="1" applyBorder="1" applyAlignment="1">
      <alignment horizontal="center" vertical="center"/>
    </xf>
    <xf numFmtId="0" fontId="21" fillId="0" borderId="23" xfId="0" applyFont="1" applyBorder="1"/>
    <xf numFmtId="0" fontId="0" fillId="0" borderId="12" xfId="0" applyBorder="1"/>
    <xf numFmtId="0" fontId="25" fillId="0" borderId="0" xfId="0" applyFont="1"/>
    <xf numFmtId="0" fontId="0" fillId="0" borderId="26" xfId="0" applyBorder="1"/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9" fontId="0" fillId="0" borderId="17" xfId="42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165" fontId="24" fillId="33" borderId="31" xfId="0" applyNumberFormat="1" applyFont="1" applyFill="1" applyBorder="1" applyAlignment="1">
      <alignment horizontal="center" vertical="center"/>
    </xf>
    <xf numFmtId="0" fontId="24" fillId="33" borderId="31" xfId="0" applyFont="1" applyFill="1" applyBorder="1" applyAlignment="1">
      <alignment horizontal="center" vertical="center"/>
    </xf>
    <xf numFmtId="9" fontId="0" fillId="33" borderId="32" xfId="42" applyFont="1" applyFill="1" applyBorder="1" applyAlignment="1">
      <alignment horizontal="center" vertical="center"/>
    </xf>
    <xf numFmtId="0" fontId="24" fillId="0" borderId="13" xfId="0" applyFont="1" applyBorder="1" applyAlignment="1">
      <alignment vertical="center"/>
    </xf>
    <xf numFmtId="0" fontId="24" fillId="0" borderId="14" xfId="0" applyFont="1" applyBorder="1" applyAlignment="1">
      <alignment vertical="center"/>
    </xf>
    <xf numFmtId="9" fontId="0" fillId="0" borderId="20" xfId="42" applyFont="1" applyBorder="1" applyAlignment="1">
      <alignment horizontal="center" vertical="center"/>
    </xf>
    <xf numFmtId="2" fontId="24" fillId="33" borderId="31" xfId="0" applyNumberFormat="1" applyFont="1" applyFill="1" applyBorder="1" applyAlignment="1">
      <alignment horizontal="center" vertical="center"/>
    </xf>
    <xf numFmtId="165" fontId="24" fillId="0" borderId="10" xfId="0" applyNumberFormat="1" applyFont="1" applyBorder="1" applyAlignment="1">
      <alignment horizontal="center" vertical="center"/>
    </xf>
    <xf numFmtId="165" fontId="24" fillId="0" borderId="19" xfId="0" applyNumberFormat="1" applyFont="1" applyBorder="1" applyAlignment="1">
      <alignment horizontal="center" vertical="center"/>
    </xf>
    <xf numFmtId="2" fontId="24" fillId="0" borderId="10" xfId="0" applyNumberFormat="1" applyFont="1" applyBorder="1" applyAlignment="1">
      <alignment horizontal="center" vertical="center"/>
    </xf>
    <xf numFmtId="2" fontId="24" fillId="0" borderId="19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0" fontId="0" fillId="0" borderId="0" xfId="0"/>
    <xf numFmtId="0" fontId="0" fillId="0" borderId="36" xfId="0" applyBorder="1"/>
    <xf numFmtId="0" fontId="21" fillId="0" borderId="0" xfId="0" applyFont="1"/>
    <xf numFmtId="0" fontId="21" fillId="0" borderId="11" xfId="0" applyFont="1" applyBorder="1"/>
    <xf numFmtId="0" fontId="21" fillId="0" borderId="12" xfId="0" applyFont="1" applyBorder="1" applyAlignment="1">
      <alignment horizontal="right"/>
    </xf>
    <xf numFmtId="0" fontId="21" fillId="0" borderId="30" xfId="0" applyFont="1" applyBorder="1"/>
    <xf numFmtId="0" fontId="0" fillId="0" borderId="0" xfId="0" applyAlignment="1"/>
    <xf numFmtId="168" fontId="0" fillId="0" borderId="0" xfId="0" applyNumberFormat="1" applyAlignment="1"/>
    <xf numFmtId="166" fontId="21" fillId="0" borderId="11" xfId="0" applyNumberFormat="1" applyFont="1" applyBorder="1" applyAlignment="1"/>
    <xf numFmtId="166" fontId="21" fillId="0" borderId="30" xfId="0" applyNumberFormat="1" applyFont="1" applyBorder="1" applyAlignment="1"/>
    <xf numFmtId="170" fontId="21" fillId="0" borderId="12" xfId="0" applyNumberFormat="1" applyFont="1" applyBorder="1" applyAlignment="1"/>
    <xf numFmtId="0" fontId="0" fillId="0" borderId="49" xfId="0" applyBorder="1"/>
    <xf numFmtId="167" fontId="0" fillId="0" borderId="37" xfId="0" applyNumberFormat="1" applyBorder="1" applyAlignment="1">
      <alignment horizontal="center"/>
    </xf>
    <xf numFmtId="164" fontId="0" fillId="0" borderId="38" xfId="0" applyNumberFormat="1" applyBorder="1"/>
    <xf numFmtId="164" fontId="0" fillId="0" borderId="11" xfId="0" applyNumberFormat="1" applyBorder="1"/>
    <xf numFmtId="0" fontId="22" fillId="0" borderId="50" xfId="0" applyFont="1" applyBorder="1" applyAlignment="1">
      <alignment horizontal="center"/>
    </xf>
    <xf numFmtId="169" fontId="0" fillId="0" borderId="37" xfId="0" applyNumberFormat="1" applyFill="1" applyBorder="1" applyAlignment="1">
      <alignment horizontal="center"/>
    </xf>
    <xf numFmtId="168" fontId="27" fillId="0" borderId="38" xfId="0" applyNumberFormat="1" applyFont="1" applyBorder="1" applyAlignment="1"/>
    <xf numFmtId="2" fontId="23" fillId="0" borderId="16" xfId="0" applyNumberFormat="1" applyFont="1" applyBorder="1" applyAlignment="1">
      <alignment horizontal="center" vertical="center"/>
    </xf>
    <xf numFmtId="2" fontId="23" fillId="0" borderId="18" xfId="0" applyNumberFormat="1" applyFont="1" applyBorder="1" applyAlignment="1">
      <alignment horizontal="center" vertical="center"/>
    </xf>
    <xf numFmtId="0" fontId="0" fillId="0" borderId="11" xfId="0" applyBorder="1"/>
    <xf numFmtId="172" fontId="22" fillId="0" borderId="10" xfId="0" applyNumberFormat="1" applyFont="1" applyBorder="1" applyAlignment="1">
      <alignment horizontal="center" vertical="center"/>
    </xf>
    <xf numFmtId="173" fontId="0" fillId="0" borderId="17" xfId="0" applyNumberFormat="1" applyBorder="1" applyAlignment="1">
      <alignment horizontal="center"/>
    </xf>
    <xf numFmtId="171" fontId="0" fillId="0" borderId="17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164" fontId="0" fillId="0" borderId="17" xfId="0" applyNumberForma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0" fontId="22" fillId="0" borderId="24" xfId="0" applyFont="1" applyBorder="1" applyAlignment="1">
      <alignment horizontal="center"/>
    </xf>
    <xf numFmtId="0" fontId="22" fillId="0" borderId="25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0" fillId="0" borderId="51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1" fillId="0" borderId="10" xfId="0" applyFont="1" applyBorder="1" applyAlignment="1">
      <alignment horizontal="right"/>
    </xf>
    <xf numFmtId="0" fontId="24" fillId="33" borderId="31" xfId="0" applyFont="1" applyFill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9" fillId="33" borderId="27" xfId="0" applyFont="1" applyFill="1" applyBorder="1" applyAlignment="1">
      <alignment horizontal="center" vertical="center"/>
    </xf>
    <xf numFmtId="0" fontId="29" fillId="33" borderId="28" xfId="0" applyFont="1" applyFill="1" applyBorder="1" applyAlignment="1">
      <alignment horizontal="center" vertical="center"/>
    </xf>
    <xf numFmtId="0" fontId="29" fillId="33" borderId="40" xfId="0" applyFont="1" applyFill="1" applyBorder="1" applyAlignment="1">
      <alignment horizontal="center" vertical="center"/>
    </xf>
    <xf numFmtId="0" fontId="26" fillId="0" borderId="27" xfId="0" applyFont="1" applyBorder="1" applyAlignment="1">
      <alignment horizontal="center"/>
    </xf>
    <xf numFmtId="0" fontId="26" fillId="0" borderId="28" xfId="0" applyFont="1" applyBorder="1" applyAlignment="1">
      <alignment horizontal="center"/>
    </xf>
    <xf numFmtId="0" fontId="26" fillId="0" borderId="29" xfId="0" applyFont="1" applyBorder="1" applyAlignment="1">
      <alignment horizontal="center"/>
    </xf>
    <xf numFmtId="0" fontId="24" fillId="0" borderId="14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right"/>
    </xf>
    <xf numFmtId="0" fontId="21" fillId="0" borderId="10" xfId="0" applyFont="1" applyBorder="1" applyAlignment="1">
      <alignment horizontal="left"/>
    </xf>
    <xf numFmtId="14" fontId="21" fillId="0" borderId="10" xfId="0" applyNumberFormat="1" applyFont="1" applyBorder="1" applyAlignment="1">
      <alignment horizontal="left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21" fillId="0" borderId="47" xfId="0" applyFont="1" applyBorder="1" applyAlignment="1">
      <alignment horizontal="right"/>
    </xf>
    <xf numFmtId="0" fontId="21" fillId="0" borderId="48" xfId="0" applyFont="1" applyBorder="1" applyAlignment="1">
      <alignment horizontal="right"/>
    </xf>
    <xf numFmtId="0" fontId="21" fillId="0" borderId="35" xfId="0" applyFont="1" applyBorder="1" applyAlignment="1">
      <alignment horizontal="right"/>
    </xf>
    <xf numFmtId="0" fontId="21" fillId="0" borderId="34" xfId="0" applyFont="1" applyBorder="1" applyAlignment="1">
      <alignment horizontal="right"/>
    </xf>
    <xf numFmtId="0" fontId="21" fillId="0" borderId="44" xfId="0" applyFont="1" applyBorder="1" applyAlignment="1">
      <alignment horizontal="right"/>
    </xf>
    <xf numFmtId="0" fontId="21" fillId="0" borderId="43" xfId="0" applyFont="1" applyBorder="1" applyAlignment="1">
      <alignment horizontal="right"/>
    </xf>
    <xf numFmtId="0" fontId="21" fillId="0" borderId="10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30" xfId="0" applyFont="1" applyBorder="1" applyAlignment="1">
      <alignment horizontal="center"/>
    </xf>
    <xf numFmtId="0" fontId="25" fillId="0" borderId="27" xfId="0" applyFont="1" applyBorder="1" applyAlignment="1">
      <alignment horizontal="center"/>
    </xf>
    <xf numFmtId="0" fontId="25" fillId="0" borderId="28" xfId="0" applyFont="1" applyBorder="1" applyAlignment="1">
      <alignment horizontal="center"/>
    </xf>
    <xf numFmtId="0" fontId="25" fillId="0" borderId="29" xfId="0" applyFont="1" applyBorder="1" applyAlignment="1">
      <alignment horizontal="center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6" xfId="0" applyBorder="1" applyAlignment="1">
      <alignment horizontal="left" wrapText="1"/>
    </xf>
    <xf numFmtId="0" fontId="0" fillId="0" borderId="37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45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46" xfId="0" applyBorder="1" applyAlignment="1">
      <alignment horizontal="left"/>
    </xf>
    <xf numFmtId="0" fontId="25" fillId="0" borderId="39" xfId="0" applyFont="1" applyBorder="1" applyAlignment="1">
      <alignment horizontal="center"/>
    </xf>
    <xf numFmtId="0" fontId="25" fillId="0" borderId="31" xfId="0" applyFont="1" applyBorder="1" applyAlignment="1">
      <alignment horizontal="center"/>
    </xf>
    <xf numFmtId="0" fontId="25" fillId="0" borderId="32" xfId="0" applyFont="1" applyBorder="1" applyAlignment="1">
      <alignment horizontal="center"/>
    </xf>
    <xf numFmtId="0" fontId="0" fillId="0" borderId="33" xfId="0" applyBorder="1" applyAlignment="1">
      <alignment horizontal="center" vertical="center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Pourcentage" xfId="42" builtinId="5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2799915904294886E-2"/>
          <c:y val="0.19017405004680582"/>
          <c:w val="0.85531714785651791"/>
          <c:h val="0.68921660834062404"/>
        </c:manualLayout>
      </c:layout>
      <c:scatterChart>
        <c:scatterStyle val="lineMarker"/>
        <c:varyColors val="0"/>
        <c:ser>
          <c:idx val="0"/>
          <c:order val="0"/>
          <c:tx>
            <c:v>Modèle Inverse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4119641294838145"/>
                  <c:y val="6.4340186643336253E-2"/>
                </c:manualLayout>
              </c:layout>
              <c:numFmt formatCode="#,##0.000000" sourceLinked="0"/>
            </c:trendlineLbl>
          </c:trendline>
          <c:xVal>
            <c:numRef>
              <c:f>étalonnage!$D$11:$I$11</c:f>
              <c:numCache>
                <c:formatCode>General</c:formatCode>
                <c:ptCount val="6"/>
              </c:numCache>
            </c:numRef>
          </c:xVal>
          <c:yVal>
            <c:numRef>
              <c:f>étalonnage!$D$9:$I$9</c:f>
              <c:numCache>
                <c:formatCode>General</c:formatCode>
                <c:ptCount val="6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5592192"/>
        <c:axId val="195592768"/>
      </c:scatterChart>
      <c:valAx>
        <c:axId val="195592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5592768"/>
        <c:crosses val="autoZero"/>
        <c:crossBetween val="midCat"/>
      </c:valAx>
      <c:valAx>
        <c:axId val="195592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55921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Analyse</a:t>
            </a:r>
            <a:r>
              <a:rPr lang="fr-FR" baseline="0"/>
              <a:t> Biais de mesure</a:t>
            </a:r>
            <a:endParaRPr lang="fr-FR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9690529308836394"/>
          <c:y val="0.19480351414406533"/>
          <c:w val="0.77383092738407699"/>
          <c:h val="0.68387685914260721"/>
        </c:manualLayout>
      </c:layout>
      <c:scatterChart>
        <c:scatterStyle val="lineMarker"/>
        <c:varyColors val="0"/>
        <c:ser>
          <c:idx val="0"/>
          <c:order val="0"/>
          <c:tx>
            <c:v>Biais</c:v>
          </c:tx>
          <c:spPr>
            <a:ln w="28575">
              <a:noFill/>
            </a:ln>
          </c:spPr>
          <c:marker>
            <c:symbol val="x"/>
            <c:size val="7"/>
          </c:marker>
          <c:dLbls>
            <c:delete val="1"/>
          </c:dLbls>
          <c:xVal>
            <c:numRef>
              <c:f>étalonnage!$D$9:$I$9</c:f>
              <c:numCache>
                <c:formatCode>General</c:formatCode>
                <c:ptCount val="6"/>
              </c:numCache>
            </c:numRef>
          </c:xVal>
          <c:yVal>
            <c:numRef>
              <c:f>étalonnage!$D$14:$I$14</c:f>
              <c:numCache>
                <c:formatCode>General</c:formatCode>
                <c:ptCount val="6"/>
              </c:numCache>
            </c:numRef>
          </c:yVal>
          <c:smooth val="0"/>
        </c:ser>
        <c:ser>
          <c:idx val="1"/>
          <c:order val="1"/>
          <c:tx>
            <c:v>Corrigé</c:v>
          </c:tx>
          <c:spPr>
            <a:ln w="28575">
              <a:noFill/>
            </a:ln>
          </c:spPr>
          <c:marker>
            <c:symbol val="circle"/>
            <c:size val="7"/>
          </c:marker>
          <c:dLbls>
            <c:delete val="1"/>
          </c:dLbls>
          <c:xVal>
            <c:numRef>
              <c:f>étalonnage!$D$9:$I$9</c:f>
              <c:numCache>
                <c:formatCode>General</c:formatCode>
                <c:ptCount val="6"/>
              </c:numCache>
            </c:numRef>
          </c:xVal>
          <c:yVal>
            <c:numRef>
              <c:f>étalonnage!$D$39:$I$39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dLbls>
          <c:dLblPos val="r"/>
          <c:showLegendKey val="0"/>
          <c:showVal val="1"/>
          <c:showCatName val="1"/>
          <c:showSerName val="0"/>
          <c:showPercent val="0"/>
          <c:showBubbleSize val="0"/>
        </c:dLbls>
        <c:axId val="195594496"/>
        <c:axId val="195595072"/>
      </c:scatterChart>
      <c:valAx>
        <c:axId val="195594496"/>
        <c:scaling>
          <c:orientation val="minMax"/>
          <c:max val="4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Xétalon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95595072"/>
        <c:crosses val="autoZero"/>
        <c:crossBetween val="midCat"/>
      </c:valAx>
      <c:valAx>
        <c:axId val="195595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Biais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9559449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.21347331583552057"/>
          <c:y val="0.91192147856517936"/>
          <c:w val="0.23416426071741031"/>
          <c:h val="8.371719160104987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15239</xdr:colOff>
      <xdr:row>19</xdr:row>
      <xdr:rowOff>6792</xdr:rowOff>
    </xdr:from>
    <xdr:to>
      <xdr:col>11</xdr:col>
      <xdr:colOff>887895</xdr:colOff>
      <xdr:row>31</xdr:row>
      <xdr:rowOff>130368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19878</xdr:colOff>
      <xdr:row>7</xdr:row>
      <xdr:rowOff>29819</xdr:rowOff>
    </xdr:from>
    <xdr:to>
      <xdr:col>18</xdr:col>
      <xdr:colOff>589722</xdr:colOff>
      <xdr:row>17</xdr:row>
      <xdr:rowOff>106018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13</xdr:col>
      <xdr:colOff>92765</xdr:colOff>
      <xdr:row>44</xdr:row>
      <xdr:rowOff>13252</xdr:rowOff>
    </xdr:from>
    <xdr:to>
      <xdr:col>19</xdr:col>
      <xdr:colOff>513583</xdr:colOff>
      <xdr:row>46</xdr:row>
      <xdr:rowOff>92236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00591" y="9846365"/>
          <a:ext cx="5191601" cy="10728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tabSelected="1" zoomScale="115" zoomScaleNormal="115" workbookViewId="0">
      <selection activeCell="D50" sqref="D50"/>
    </sheetView>
  </sheetViews>
  <sheetFormatPr baseColWidth="10" defaultRowHeight="14.4" x14ac:dyDescent="0.3"/>
  <cols>
    <col min="1" max="1" width="7.88671875" customWidth="1"/>
    <col min="2" max="2" width="6.77734375" customWidth="1"/>
    <col min="3" max="3" width="7" customWidth="1"/>
    <col min="4" max="4" width="12.44140625" bestFit="1" customWidth="1"/>
    <col min="12" max="12" width="13.21875" bestFit="1" customWidth="1"/>
  </cols>
  <sheetData>
    <row r="1" spans="1:13" s="47" customFormat="1" ht="31.2" x14ac:dyDescent="0.6">
      <c r="A1" s="82" t="s">
        <v>69</v>
      </c>
      <c r="B1" s="82"/>
      <c r="C1" s="82"/>
      <c r="D1" s="82"/>
      <c r="E1" s="82"/>
      <c r="F1" s="82"/>
      <c r="G1" s="82"/>
      <c r="H1" s="82"/>
      <c r="I1" s="82"/>
      <c r="J1" s="82"/>
      <c r="K1" s="82"/>
    </row>
    <row r="2" spans="1:13" ht="18" x14ac:dyDescent="0.35">
      <c r="A2" s="85" t="s">
        <v>48</v>
      </c>
      <c r="B2" s="85"/>
      <c r="C2" s="85"/>
      <c r="D2" s="112" t="s">
        <v>55</v>
      </c>
      <c r="E2" s="112"/>
      <c r="F2" s="112"/>
      <c r="G2" s="106" t="s">
        <v>58</v>
      </c>
      <c r="H2" s="107"/>
      <c r="I2" s="101"/>
      <c r="J2" s="101"/>
      <c r="K2" s="101"/>
      <c r="L2" s="49"/>
    </row>
    <row r="3" spans="1:13" ht="18" x14ac:dyDescent="0.35">
      <c r="A3" s="85" t="s">
        <v>49</v>
      </c>
      <c r="B3" s="85"/>
      <c r="C3" s="85"/>
      <c r="D3" s="112" t="s">
        <v>56</v>
      </c>
      <c r="E3" s="112"/>
      <c r="F3" s="112"/>
      <c r="G3" s="108" t="s">
        <v>59</v>
      </c>
      <c r="H3" s="109"/>
      <c r="I3" s="102">
        <v>45960</v>
      </c>
      <c r="J3" s="101"/>
      <c r="K3" s="101"/>
      <c r="L3" s="49"/>
    </row>
    <row r="4" spans="1:13" ht="18" x14ac:dyDescent="0.35">
      <c r="A4" s="85" t="s">
        <v>50</v>
      </c>
      <c r="B4" s="85"/>
      <c r="C4" s="85"/>
      <c r="D4" s="112" t="s">
        <v>54</v>
      </c>
      <c r="E4" s="112"/>
      <c r="F4" s="112"/>
      <c r="G4" s="108" t="s">
        <v>60</v>
      </c>
      <c r="H4" s="109"/>
      <c r="I4" s="101">
        <v>1</v>
      </c>
      <c r="J4" s="101"/>
      <c r="K4" s="101"/>
      <c r="L4" s="49"/>
    </row>
    <row r="5" spans="1:13" ht="18" x14ac:dyDescent="0.35">
      <c r="A5" s="85" t="s">
        <v>51</v>
      </c>
      <c r="B5" s="85"/>
      <c r="C5" s="85"/>
      <c r="D5" s="112" t="s">
        <v>74</v>
      </c>
      <c r="E5" s="112"/>
      <c r="F5" s="112"/>
      <c r="G5" s="108" t="s">
        <v>61</v>
      </c>
      <c r="H5" s="109"/>
      <c r="I5" s="55">
        <v>16</v>
      </c>
      <c r="J5" s="57">
        <f>D24</f>
        <v>2</v>
      </c>
      <c r="K5" s="56"/>
      <c r="L5" s="49"/>
    </row>
    <row r="6" spans="1:13" ht="18" x14ac:dyDescent="0.35">
      <c r="A6" s="100" t="s">
        <v>52</v>
      </c>
      <c r="B6" s="100"/>
      <c r="C6" s="100"/>
      <c r="D6" s="50" t="s">
        <v>57</v>
      </c>
      <c r="E6" s="51" t="s">
        <v>64</v>
      </c>
      <c r="F6" s="52" t="s">
        <v>73</v>
      </c>
      <c r="G6" s="108" t="s">
        <v>62</v>
      </c>
      <c r="H6" s="109"/>
      <c r="I6" s="103"/>
      <c r="J6" s="104"/>
      <c r="K6" s="105"/>
      <c r="L6" s="49"/>
    </row>
    <row r="7" spans="1:13" ht="18" x14ac:dyDescent="0.35">
      <c r="A7" s="85" t="s">
        <v>53</v>
      </c>
      <c r="B7" s="85"/>
      <c r="C7" s="85"/>
      <c r="D7" s="113" t="s">
        <v>65</v>
      </c>
      <c r="E7" s="114"/>
      <c r="F7" s="115"/>
      <c r="G7" s="110" t="s">
        <v>63</v>
      </c>
      <c r="H7" s="111"/>
      <c r="I7" s="103"/>
      <c r="J7" s="104"/>
      <c r="K7" s="105"/>
      <c r="L7" s="49"/>
    </row>
    <row r="8" spans="1:13" ht="15" thickBot="1" x14ac:dyDescent="0.35"/>
    <row r="9" spans="1:13" ht="18.600000000000001" thickBot="1" x14ac:dyDescent="0.4">
      <c r="A9" s="10" t="s">
        <v>27</v>
      </c>
      <c r="B9" s="11" t="s">
        <v>0</v>
      </c>
      <c r="C9" s="11" t="s">
        <v>1</v>
      </c>
      <c r="D9" s="4"/>
      <c r="E9" s="5"/>
      <c r="F9" s="5"/>
      <c r="G9" s="5"/>
      <c r="H9" s="5"/>
      <c r="I9" s="58"/>
      <c r="J9" s="137" t="s">
        <v>66</v>
      </c>
      <c r="K9" s="138"/>
      <c r="L9" s="139"/>
    </row>
    <row r="10" spans="1:13" ht="18" x14ac:dyDescent="0.35">
      <c r="A10" s="12" t="s">
        <v>28</v>
      </c>
      <c r="B10" s="1" t="s">
        <v>2</v>
      </c>
      <c r="C10" s="27" t="s">
        <v>1</v>
      </c>
      <c r="D10" s="14"/>
      <c r="E10" s="2"/>
      <c r="F10" s="2"/>
      <c r="G10" s="2"/>
      <c r="H10" s="2"/>
      <c r="I10" s="7"/>
      <c r="J10" s="48" t="s">
        <v>67</v>
      </c>
      <c r="K10" s="59" t="e">
        <f>MIN(D15:I15)</f>
        <v>#DIV/0!</v>
      </c>
      <c r="L10" s="60"/>
    </row>
    <row r="11" spans="1:13" ht="18" x14ac:dyDescent="0.35">
      <c r="A11" s="13" t="s">
        <v>29</v>
      </c>
      <c r="B11" s="1" t="s">
        <v>3</v>
      </c>
      <c r="C11" s="27" t="s">
        <v>5</v>
      </c>
      <c r="D11" s="14"/>
      <c r="E11" s="2"/>
      <c r="F11" s="2"/>
      <c r="G11" s="2"/>
      <c r="H11" s="2"/>
      <c r="I11" s="7"/>
      <c r="J11" s="140"/>
      <c r="K11" s="123"/>
      <c r="L11" s="124"/>
      <c r="M11" s="53"/>
    </row>
    <row r="12" spans="1:13" ht="18" x14ac:dyDescent="0.35">
      <c r="A12" s="13" t="s">
        <v>30</v>
      </c>
      <c r="B12" s="1" t="s">
        <v>4</v>
      </c>
      <c r="C12" s="27" t="s">
        <v>1</v>
      </c>
      <c r="D12" s="14"/>
      <c r="E12" s="2"/>
      <c r="F12" s="2"/>
      <c r="G12" s="2"/>
      <c r="H12" s="2"/>
      <c r="I12" s="7"/>
      <c r="J12" s="122"/>
      <c r="K12" s="123"/>
      <c r="L12" s="124"/>
      <c r="M12" s="53"/>
    </row>
    <row r="13" spans="1:13" ht="18" x14ac:dyDescent="0.35">
      <c r="A13" s="13" t="s">
        <v>31</v>
      </c>
      <c r="B13" s="1" t="s">
        <v>6</v>
      </c>
      <c r="C13" s="27" t="s">
        <v>1</v>
      </c>
      <c r="D13" s="14"/>
      <c r="E13" s="2"/>
      <c r="F13" s="2"/>
      <c r="G13" s="2"/>
      <c r="H13" s="2"/>
      <c r="I13" s="7"/>
      <c r="J13" s="122"/>
      <c r="K13" s="123"/>
      <c r="L13" s="124"/>
      <c r="M13" s="53"/>
    </row>
    <row r="14" spans="1:13" ht="18.600000000000001" thickBot="1" x14ac:dyDescent="0.4">
      <c r="A14" s="26" t="s">
        <v>7</v>
      </c>
      <c r="B14" s="1" t="s">
        <v>8</v>
      </c>
      <c r="C14" s="27" t="s">
        <v>1</v>
      </c>
      <c r="D14" s="14"/>
      <c r="E14" s="2"/>
      <c r="F14" s="2"/>
      <c r="G14" s="2"/>
      <c r="H14" s="2"/>
      <c r="I14" s="7"/>
      <c r="J14" s="125"/>
      <c r="K14" s="126"/>
      <c r="L14" s="127"/>
      <c r="M14" s="53"/>
    </row>
    <row r="15" spans="1:13" x14ac:dyDescent="0.3">
      <c r="A15" s="76" t="s">
        <v>10</v>
      </c>
      <c r="B15" s="77"/>
      <c r="C15" s="77"/>
      <c r="D15" s="21" t="e">
        <f>$E$24*0.001/(3*D13)</f>
        <v>#DIV/0!</v>
      </c>
      <c r="E15" s="22" t="e">
        <f t="shared" ref="E15:I15" si="0">$E$24*0.001/(3*E13)</f>
        <v>#DIV/0!</v>
      </c>
      <c r="F15" s="22" t="e">
        <f t="shared" si="0"/>
        <v>#DIV/0!</v>
      </c>
      <c r="G15" s="22" t="e">
        <f t="shared" si="0"/>
        <v>#DIV/0!</v>
      </c>
      <c r="H15" s="22" t="e">
        <f t="shared" si="0"/>
        <v>#DIV/0!</v>
      </c>
      <c r="I15" s="61" t="e">
        <f t="shared" si="0"/>
        <v>#DIV/0!</v>
      </c>
      <c r="J15" s="48" t="s">
        <v>68</v>
      </c>
      <c r="K15" s="63" t="e">
        <f>MIN(D16:I16)</f>
        <v>#DIV/0!</v>
      </c>
      <c r="L15" s="64">
        <f>MAX(D14:I14)*1000</f>
        <v>0</v>
      </c>
      <c r="M15" s="54"/>
    </row>
    <row r="16" spans="1:13" x14ac:dyDescent="0.3">
      <c r="A16" s="76" t="s">
        <v>9</v>
      </c>
      <c r="B16" s="77"/>
      <c r="C16" s="77"/>
      <c r="D16" s="21" t="e">
        <f>($E$24*0.001-ABS(D14))/(3*D13)</f>
        <v>#DIV/0!</v>
      </c>
      <c r="E16" s="22" t="e">
        <f t="shared" ref="E16:I16" si="1">($E$24*0.001-ABS(E14))/(3*E13)</f>
        <v>#DIV/0!</v>
      </c>
      <c r="F16" s="22" t="e">
        <f t="shared" si="1"/>
        <v>#DIV/0!</v>
      </c>
      <c r="G16" s="22" t="e">
        <f t="shared" si="1"/>
        <v>#DIV/0!</v>
      </c>
      <c r="H16" s="22" t="e">
        <f t="shared" si="1"/>
        <v>#DIV/0!</v>
      </c>
      <c r="I16" s="61" t="e">
        <f t="shared" si="1"/>
        <v>#DIV/0!</v>
      </c>
      <c r="J16" s="140"/>
      <c r="K16" s="123"/>
      <c r="L16" s="124"/>
      <c r="M16" s="53"/>
    </row>
    <row r="17" spans="1:15" ht="18.600000000000001" thickBot="1" x14ac:dyDescent="0.4">
      <c r="A17" s="74" t="s">
        <v>11</v>
      </c>
      <c r="B17" s="75"/>
      <c r="C17" s="75"/>
      <c r="D17" s="19" t="e">
        <f t="shared" ref="D17:I17" si="2">IF(AND(ABS(D14)&lt;EMT_1*0.001, D10&lt;EMT_1*0.001/3, D15&gt;Cp, D16&gt;Cpk), "C", "NC")</f>
        <v>#DIV/0!</v>
      </c>
      <c r="E17" s="20" t="e">
        <f t="shared" si="2"/>
        <v>#DIV/0!</v>
      </c>
      <c r="F17" s="20" t="e">
        <f t="shared" si="2"/>
        <v>#DIV/0!</v>
      </c>
      <c r="G17" s="20" t="e">
        <f t="shared" si="2"/>
        <v>#DIV/0!</v>
      </c>
      <c r="H17" s="20" t="e">
        <f t="shared" si="2"/>
        <v>#DIV/0!</v>
      </c>
      <c r="I17" s="62" t="e">
        <f t="shared" si="2"/>
        <v>#DIV/0!</v>
      </c>
      <c r="J17" s="122"/>
      <c r="K17" s="123"/>
      <c r="L17" s="124"/>
      <c r="M17" s="53"/>
    </row>
    <row r="18" spans="1:15" ht="15" thickBot="1" x14ac:dyDescent="0.35">
      <c r="J18" s="125"/>
      <c r="K18" s="126"/>
      <c r="L18" s="127"/>
      <c r="M18" s="53"/>
    </row>
    <row r="19" spans="1:15" ht="15" thickBot="1" x14ac:dyDescent="0.35">
      <c r="J19" s="53"/>
      <c r="K19" s="53"/>
      <c r="L19" s="53"/>
      <c r="M19" s="53"/>
    </row>
    <row r="20" spans="1:15" ht="15" thickBot="1" x14ac:dyDescent="0.35">
      <c r="D20" s="23" t="s">
        <v>20</v>
      </c>
      <c r="E20" s="5" t="s">
        <v>21</v>
      </c>
      <c r="F20" s="6" t="s">
        <v>22</v>
      </c>
    </row>
    <row r="21" spans="1:15" ht="18" x14ac:dyDescent="0.35">
      <c r="A21" s="83" t="s">
        <v>17</v>
      </c>
      <c r="B21" s="84"/>
      <c r="C21" s="6" t="s">
        <v>5</v>
      </c>
      <c r="D21" s="24">
        <v>16</v>
      </c>
      <c r="E21" s="15">
        <v>8</v>
      </c>
      <c r="F21" s="9">
        <v>8</v>
      </c>
      <c r="H21" t="e">
        <f t="array" ref="H21:I24">LINEST(D9:I9,D11:I11,1,1)</f>
        <v>#VALUE!</v>
      </c>
      <c r="I21" t="e">
        <v>#VALUE!</v>
      </c>
    </row>
    <row r="22" spans="1:15" ht="18" x14ac:dyDescent="0.3">
      <c r="A22" s="78" t="s">
        <v>18</v>
      </c>
      <c r="B22" s="79"/>
      <c r="C22" s="9" t="s">
        <v>23</v>
      </c>
      <c r="D22" s="25">
        <f>(4.096*2/2^16)*1000</f>
        <v>0.125</v>
      </c>
      <c r="E22" s="68">
        <f>(4.096*2/2^16)*1000</f>
        <v>0.125</v>
      </c>
      <c r="F22" s="69" t="e">
        <f>b_1*1000</f>
        <v>#VALUE!</v>
      </c>
      <c r="H22" t="e">
        <v>#VALUE!</v>
      </c>
      <c r="I22" t="e">
        <v>#VALUE!</v>
      </c>
    </row>
    <row r="23" spans="1:15" ht="18" x14ac:dyDescent="0.35">
      <c r="A23" s="78" t="s">
        <v>19</v>
      </c>
      <c r="B23" s="79"/>
      <c r="C23" s="9" t="s">
        <v>24</v>
      </c>
      <c r="D23" s="25"/>
      <c r="E23" s="16"/>
      <c r="F23" s="70" t="e">
        <f>b_0*1000</f>
        <v>#VALUE!</v>
      </c>
      <c r="H23" t="e">
        <v>#VALUE!</v>
      </c>
      <c r="I23" t="e">
        <v>#VALUE!</v>
      </c>
    </row>
    <row r="24" spans="1:15" ht="18" x14ac:dyDescent="0.35">
      <c r="A24" s="78" t="s">
        <v>17</v>
      </c>
      <c r="B24" s="79"/>
      <c r="C24" s="9" t="s">
        <v>24</v>
      </c>
      <c r="D24" s="25">
        <f>D22*D21</f>
        <v>2</v>
      </c>
      <c r="E24" s="15">
        <f>E22*E21</f>
        <v>1</v>
      </c>
      <c r="F24" s="71" t="e">
        <f>F21*F22</f>
        <v>#VALUE!</v>
      </c>
      <c r="H24" t="e">
        <v>#VALUE!</v>
      </c>
      <c r="I24" t="e">
        <v>#VALUE!</v>
      </c>
    </row>
    <row r="25" spans="1:15" ht="18" x14ac:dyDescent="0.35">
      <c r="A25" s="78" t="s">
        <v>12</v>
      </c>
      <c r="B25" s="79"/>
      <c r="C25" s="9" t="s">
        <v>24</v>
      </c>
      <c r="D25" s="25">
        <f>D24</f>
        <v>2</v>
      </c>
      <c r="E25" s="15">
        <f>MAX(MAX(D14:I14), -MIN(D14:I14))*1000</f>
        <v>0</v>
      </c>
      <c r="F25" s="71" t="e">
        <f>MAX(MAX(D39:I39), -MIN(D39:I39))*1000</f>
        <v>#VALUE!</v>
      </c>
      <c r="O25" s="47"/>
    </row>
    <row r="26" spans="1:15" ht="18" x14ac:dyDescent="0.35">
      <c r="A26" s="78" t="s">
        <v>13</v>
      </c>
      <c r="B26" s="79"/>
      <c r="C26" s="9" t="s">
        <v>24</v>
      </c>
      <c r="D26" s="25">
        <f>D24/3</f>
        <v>0.66666666666666663</v>
      </c>
      <c r="E26" s="15">
        <f>MAX(D10:I10)*1000</f>
        <v>0</v>
      </c>
      <c r="F26" s="9">
        <f>E26</f>
        <v>0</v>
      </c>
    </row>
    <row r="27" spans="1:15" ht="18" x14ac:dyDescent="0.35">
      <c r="A27" s="78" t="s">
        <v>14</v>
      </c>
      <c r="B27" s="79"/>
      <c r="C27" s="9" t="s">
        <v>24</v>
      </c>
      <c r="D27" s="25">
        <f>D24/(3*D28)</f>
        <v>0.4016064257028113</v>
      </c>
      <c r="E27" s="15">
        <f>MAX(D13:I13)*1000</f>
        <v>0</v>
      </c>
      <c r="F27" s="9">
        <f>E27</f>
        <v>0</v>
      </c>
    </row>
    <row r="28" spans="1:15" ht="18" x14ac:dyDescent="0.35">
      <c r="A28" s="78" t="s">
        <v>15</v>
      </c>
      <c r="B28" s="79"/>
      <c r="C28" s="9"/>
      <c r="D28" s="65">
        <v>1.66</v>
      </c>
      <c r="E28" s="17" t="e">
        <f>MIN(D15:I15)</f>
        <v>#DIV/0!</v>
      </c>
      <c r="F28" s="72" t="e">
        <f>E28</f>
        <v>#DIV/0!</v>
      </c>
    </row>
    <row r="29" spans="1:15" ht="18.600000000000001" thickBot="1" x14ac:dyDescent="0.4">
      <c r="A29" s="80" t="s">
        <v>16</v>
      </c>
      <c r="B29" s="81"/>
      <c r="C29" s="8"/>
      <c r="D29" s="66">
        <v>1.66</v>
      </c>
      <c r="E29" s="18" t="e">
        <f>MIN(D16:I16)</f>
        <v>#DIV/0!</v>
      </c>
      <c r="F29" s="73" t="e">
        <f>MIN(D41:I41)</f>
        <v>#VALUE!</v>
      </c>
    </row>
    <row r="32" spans="1:15" ht="15" thickBot="1" x14ac:dyDescent="0.35"/>
    <row r="33" spans="1:12" ht="18.600000000000001" thickBot="1" x14ac:dyDescent="0.4">
      <c r="A33" s="28" t="s">
        <v>25</v>
      </c>
      <c r="J33" s="116" t="s">
        <v>71</v>
      </c>
      <c r="K33" s="117"/>
      <c r="L33" s="118"/>
    </row>
    <row r="34" spans="1:12" x14ac:dyDescent="0.3">
      <c r="A34" s="78" t="s">
        <v>18</v>
      </c>
      <c r="B34" s="79"/>
      <c r="C34" s="3" t="s">
        <v>23</v>
      </c>
      <c r="D34" s="2" t="e">
        <f>b_1</f>
        <v>#VALUE!</v>
      </c>
      <c r="J34" s="119"/>
      <c r="K34" s="120"/>
      <c r="L34" s="121"/>
    </row>
    <row r="35" spans="1:12" ht="15" thickBot="1" x14ac:dyDescent="0.35">
      <c r="A35" s="78" t="s">
        <v>19</v>
      </c>
      <c r="B35" s="79"/>
      <c r="C35" s="3" t="s">
        <v>24</v>
      </c>
      <c r="D35" s="29" t="e">
        <f>b_0</f>
        <v>#VALUE!</v>
      </c>
      <c r="J35" s="122"/>
      <c r="K35" s="123"/>
      <c r="L35" s="124"/>
    </row>
    <row r="36" spans="1:12" ht="18" x14ac:dyDescent="0.35">
      <c r="A36" s="10" t="s">
        <v>27</v>
      </c>
      <c r="B36" s="11" t="s">
        <v>0</v>
      </c>
      <c r="C36" s="11" t="s">
        <v>1</v>
      </c>
      <c r="D36" s="4">
        <f>D9</f>
        <v>0</v>
      </c>
      <c r="E36" s="5">
        <f t="shared" ref="E36:I36" si="3">E9</f>
        <v>0</v>
      </c>
      <c r="F36" s="5">
        <f t="shared" si="3"/>
        <v>0</v>
      </c>
      <c r="G36" s="5">
        <f t="shared" si="3"/>
        <v>0</v>
      </c>
      <c r="H36" s="5">
        <f t="shared" si="3"/>
        <v>0</v>
      </c>
      <c r="I36" s="58">
        <f t="shared" si="3"/>
        <v>0</v>
      </c>
      <c r="J36" s="122"/>
      <c r="K36" s="123"/>
      <c r="L36" s="124"/>
    </row>
    <row r="37" spans="1:12" ht="18" x14ac:dyDescent="0.35">
      <c r="A37" s="13" t="s">
        <v>29</v>
      </c>
      <c r="B37" s="1" t="s">
        <v>3</v>
      </c>
      <c r="C37" s="27" t="s">
        <v>5</v>
      </c>
      <c r="D37" s="14">
        <f>D11</f>
        <v>0</v>
      </c>
      <c r="E37" s="2">
        <f t="shared" ref="E37:I37" si="4">E11</f>
        <v>0</v>
      </c>
      <c r="F37" s="2">
        <f t="shared" si="4"/>
        <v>0</v>
      </c>
      <c r="G37" s="2">
        <f t="shared" si="4"/>
        <v>0</v>
      </c>
      <c r="H37" s="2">
        <f t="shared" si="4"/>
        <v>0</v>
      </c>
      <c r="I37" s="67">
        <f t="shared" si="4"/>
        <v>0</v>
      </c>
      <c r="J37" s="122"/>
      <c r="K37" s="123"/>
      <c r="L37" s="124"/>
    </row>
    <row r="38" spans="1:12" ht="18" x14ac:dyDescent="0.35">
      <c r="A38" s="13" t="s">
        <v>26</v>
      </c>
      <c r="B38" s="1" t="s">
        <v>4</v>
      </c>
      <c r="C38" s="27" t="s">
        <v>1</v>
      </c>
      <c r="D38" s="14" t="e">
        <f t="shared" ref="D38:I38" si="5">b_1*D37+b_0</f>
        <v>#VALUE!</v>
      </c>
      <c r="E38" s="2" t="e">
        <f t="shared" si="5"/>
        <v>#VALUE!</v>
      </c>
      <c r="F38" s="2" t="e">
        <f t="shared" si="5"/>
        <v>#VALUE!</v>
      </c>
      <c r="G38" s="2" t="e">
        <f t="shared" si="5"/>
        <v>#VALUE!</v>
      </c>
      <c r="H38" s="2" t="e">
        <f t="shared" si="5"/>
        <v>#VALUE!</v>
      </c>
      <c r="I38" s="67" t="e">
        <f t="shared" si="5"/>
        <v>#VALUE!</v>
      </c>
      <c r="J38" s="122"/>
      <c r="K38" s="123"/>
      <c r="L38" s="124"/>
    </row>
    <row r="39" spans="1:12" ht="18" x14ac:dyDescent="0.35">
      <c r="A39" s="26" t="s">
        <v>7</v>
      </c>
      <c r="B39" s="1" t="s">
        <v>8</v>
      </c>
      <c r="C39" s="27" t="s">
        <v>1</v>
      </c>
      <c r="D39" s="14" t="e">
        <f>D38-D36</f>
        <v>#VALUE!</v>
      </c>
      <c r="E39" s="2" t="e">
        <f t="shared" ref="E39:I39" si="6">E38-E36</f>
        <v>#VALUE!</v>
      </c>
      <c r="F39" s="2" t="e">
        <f t="shared" si="6"/>
        <v>#VALUE!</v>
      </c>
      <c r="G39" s="2" t="e">
        <f t="shared" si="6"/>
        <v>#VALUE!</v>
      </c>
      <c r="H39" s="2" t="e">
        <f t="shared" si="6"/>
        <v>#VALUE!</v>
      </c>
      <c r="I39" s="67" t="e">
        <f t="shared" si="6"/>
        <v>#VALUE!</v>
      </c>
      <c r="J39" s="122"/>
      <c r="K39" s="123"/>
      <c r="L39" s="124"/>
    </row>
    <row r="40" spans="1:12" x14ac:dyDescent="0.3">
      <c r="A40" s="76" t="s">
        <v>32</v>
      </c>
      <c r="B40" s="77"/>
      <c r="C40" s="77"/>
      <c r="D40" s="21" t="e">
        <f t="shared" ref="D40:I40" si="7">(EMT_2*0.001)/(3*D13)</f>
        <v>#VALUE!</v>
      </c>
      <c r="E40" s="22" t="e">
        <f t="shared" si="7"/>
        <v>#VALUE!</v>
      </c>
      <c r="F40" s="22" t="e">
        <f t="shared" si="7"/>
        <v>#VALUE!</v>
      </c>
      <c r="G40" s="22" t="e">
        <f t="shared" si="7"/>
        <v>#VALUE!</v>
      </c>
      <c r="H40" s="22" t="e">
        <f t="shared" si="7"/>
        <v>#VALUE!</v>
      </c>
      <c r="I40" s="61" t="e">
        <f t="shared" si="7"/>
        <v>#VALUE!</v>
      </c>
      <c r="J40" s="122"/>
      <c r="K40" s="123"/>
      <c r="L40" s="124"/>
    </row>
    <row r="41" spans="1:12" x14ac:dyDescent="0.3">
      <c r="A41" s="76" t="s">
        <v>9</v>
      </c>
      <c r="B41" s="77"/>
      <c r="C41" s="77"/>
      <c r="D41" s="21" t="e">
        <f t="shared" ref="D41:I41" si="8">(EMT_2*0.001-ABS(D39))/(3*D13)</f>
        <v>#VALUE!</v>
      </c>
      <c r="E41" s="22" t="e">
        <f t="shared" si="8"/>
        <v>#VALUE!</v>
      </c>
      <c r="F41" s="22" t="e">
        <f t="shared" si="8"/>
        <v>#VALUE!</v>
      </c>
      <c r="G41" s="22" t="e">
        <f t="shared" si="8"/>
        <v>#VALUE!</v>
      </c>
      <c r="H41" s="22" t="e">
        <f t="shared" si="8"/>
        <v>#VALUE!</v>
      </c>
      <c r="I41" s="61" t="e">
        <f t="shared" si="8"/>
        <v>#VALUE!</v>
      </c>
      <c r="J41" s="122"/>
      <c r="K41" s="123"/>
      <c r="L41" s="124"/>
    </row>
    <row r="42" spans="1:12" ht="18.600000000000001" thickBot="1" x14ac:dyDescent="0.4">
      <c r="A42" s="74" t="s">
        <v>11</v>
      </c>
      <c r="B42" s="75"/>
      <c r="C42" s="75"/>
      <c r="D42" s="19" t="e">
        <f t="shared" ref="D42:I42" si="9">IF(AND(ABS(D39)&lt;EMT_1*0.001, D10&lt;EMT_1*0.001/3, D40&gt;Cp, D41&gt;Cpk), "C", "NC")</f>
        <v>#VALUE!</v>
      </c>
      <c r="E42" s="20" t="e">
        <f t="shared" si="9"/>
        <v>#VALUE!</v>
      </c>
      <c r="F42" s="20" t="e">
        <f t="shared" si="9"/>
        <v>#VALUE!</v>
      </c>
      <c r="G42" s="20" t="e">
        <f t="shared" si="9"/>
        <v>#VALUE!</v>
      </c>
      <c r="H42" s="20" t="e">
        <f t="shared" si="9"/>
        <v>#VALUE!</v>
      </c>
      <c r="I42" s="62" t="e">
        <f t="shared" si="9"/>
        <v>#VALUE!</v>
      </c>
      <c r="J42" s="125"/>
      <c r="K42" s="126"/>
      <c r="L42" s="127"/>
    </row>
    <row r="43" spans="1:12" ht="15" thickBot="1" x14ac:dyDescent="0.35"/>
    <row r="44" spans="1:12" ht="21.6" thickBot="1" x14ac:dyDescent="0.45">
      <c r="A44" s="92" t="s">
        <v>70</v>
      </c>
      <c r="B44" s="93"/>
      <c r="C44" s="93"/>
      <c r="D44" s="93"/>
      <c r="E44" s="93"/>
      <c r="F44" s="93"/>
      <c r="G44" s="93"/>
      <c r="H44" s="93"/>
      <c r="I44" s="94"/>
      <c r="J44" s="116" t="s">
        <v>72</v>
      </c>
      <c r="K44" s="117"/>
      <c r="L44" s="118"/>
    </row>
    <row r="45" spans="1:12" ht="46.8" x14ac:dyDescent="0.3">
      <c r="A45" s="38" t="s">
        <v>33</v>
      </c>
      <c r="B45" s="39"/>
      <c r="C45" s="5"/>
      <c r="D45" s="30" t="s">
        <v>44</v>
      </c>
      <c r="E45" s="95" t="s">
        <v>34</v>
      </c>
      <c r="F45" s="95"/>
      <c r="G45" s="30" t="s">
        <v>35</v>
      </c>
      <c r="H45" s="30" t="s">
        <v>36</v>
      </c>
      <c r="I45" s="31" t="s">
        <v>37</v>
      </c>
      <c r="J45" s="128"/>
      <c r="K45" s="129"/>
      <c r="L45" s="130"/>
    </row>
    <row r="46" spans="1:12" ht="31.2" customHeight="1" x14ac:dyDescent="0.3">
      <c r="A46" s="99" t="s">
        <v>38</v>
      </c>
      <c r="B46" s="96"/>
      <c r="C46" s="96"/>
      <c r="D46" s="44">
        <f>(0.0015%*4.1+0.0004%*10)*1000</f>
        <v>0.10149999999999999</v>
      </c>
      <c r="E46" s="96" t="s">
        <v>47</v>
      </c>
      <c r="F46" s="96"/>
      <c r="G46" s="42">
        <f>D46/3</f>
        <v>3.3833333333333333E-2</v>
      </c>
      <c r="H46" s="33">
        <f>G46^2</f>
        <v>1.1446944444444445E-3</v>
      </c>
      <c r="I46" s="32">
        <f>H46/Som_var</f>
        <v>0.57870493898243192</v>
      </c>
      <c r="J46" s="131"/>
      <c r="K46" s="132"/>
      <c r="L46" s="133"/>
    </row>
    <row r="47" spans="1:12" ht="30.6" customHeight="1" x14ac:dyDescent="0.3">
      <c r="A47" s="99" t="s">
        <v>39</v>
      </c>
      <c r="B47" s="96"/>
      <c r="C47" s="96"/>
      <c r="D47" s="44">
        <f>0.1/2</f>
        <v>0.05</v>
      </c>
      <c r="E47" s="96" t="s">
        <v>40</v>
      </c>
      <c r="F47" s="96"/>
      <c r="G47" s="42">
        <f>D47/SQRT(3)</f>
        <v>2.8867513459481291E-2</v>
      </c>
      <c r="H47" s="33">
        <f>G47^2</f>
        <v>8.333333333333335E-4</v>
      </c>
      <c r="I47" s="32">
        <f>H47/Som_var</f>
        <v>0.42129506101756797</v>
      </c>
      <c r="J47" s="131"/>
      <c r="K47" s="132"/>
      <c r="L47" s="133"/>
    </row>
    <row r="48" spans="1:12" ht="15.6" customHeight="1" x14ac:dyDescent="0.3">
      <c r="A48" s="99" t="s">
        <v>41</v>
      </c>
      <c r="B48" s="96"/>
      <c r="C48" s="96"/>
      <c r="D48" s="44">
        <f>2*Sads</f>
        <v>0</v>
      </c>
      <c r="E48" s="97" t="s">
        <v>42</v>
      </c>
      <c r="F48" s="97"/>
      <c r="G48" s="33">
        <f>D48/3</f>
        <v>0</v>
      </c>
      <c r="H48" s="33">
        <f>G48^2</f>
        <v>0</v>
      </c>
      <c r="I48" s="32">
        <f>H48/Som_var</f>
        <v>0</v>
      </c>
      <c r="J48" s="131"/>
      <c r="K48" s="132"/>
      <c r="L48" s="133"/>
    </row>
    <row r="49" spans="1:12" ht="16.2" customHeight="1" thickBot="1" x14ac:dyDescent="0.35">
      <c r="A49" s="87" t="s">
        <v>45</v>
      </c>
      <c r="B49" s="88"/>
      <c r="C49" s="88"/>
      <c r="D49" s="45">
        <f>Biais</f>
        <v>0</v>
      </c>
      <c r="E49" s="98" t="s">
        <v>46</v>
      </c>
      <c r="F49" s="98"/>
      <c r="G49" s="43">
        <f>D49/(SQRT(3))</f>
        <v>0</v>
      </c>
      <c r="H49" s="34">
        <f>G49^2</f>
        <v>0</v>
      </c>
      <c r="I49" s="40">
        <f>H49/Som_var</f>
        <v>0</v>
      </c>
      <c r="J49" s="131"/>
      <c r="K49" s="132"/>
      <c r="L49" s="133"/>
    </row>
    <row r="50" spans="1:12" ht="16.2" thickBot="1" x14ac:dyDescent="0.35">
      <c r="A50" s="89" t="s">
        <v>43</v>
      </c>
      <c r="B50" s="90"/>
      <c r="C50" s="91"/>
      <c r="D50" s="41">
        <f>3*G50</f>
        <v>0.13342507260631339</v>
      </c>
      <c r="E50" s="86" t="s">
        <v>42</v>
      </c>
      <c r="F50" s="86"/>
      <c r="G50" s="35">
        <f>SQRT(Som_var)</f>
        <v>4.4475024202104467E-2</v>
      </c>
      <c r="H50" s="36">
        <f>SUM(H46:H49)</f>
        <v>1.9780277777777782E-3</v>
      </c>
      <c r="I50" s="37"/>
      <c r="J50" s="134"/>
      <c r="K50" s="135"/>
      <c r="L50" s="136"/>
    </row>
    <row r="51" spans="1:12" ht="18" customHeight="1" x14ac:dyDescent="0.3">
      <c r="D51" s="46">
        <f>D50/q_1</f>
        <v>1.0674005808505072</v>
      </c>
    </row>
  </sheetData>
  <mergeCells count="59">
    <mergeCell ref="J33:L33"/>
    <mergeCell ref="J34:L42"/>
    <mergeCell ref="J44:L44"/>
    <mergeCell ref="J45:L50"/>
    <mergeCell ref="I7:K7"/>
    <mergeCell ref="J9:L9"/>
    <mergeCell ref="J11:L14"/>
    <mergeCell ref="J16:L18"/>
    <mergeCell ref="I6:K6"/>
    <mergeCell ref="A7:C7"/>
    <mergeCell ref="G2:H2"/>
    <mergeCell ref="G3:H3"/>
    <mergeCell ref="G4:H4"/>
    <mergeCell ref="G5:H5"/>
    <mergeCell ref="G6:H6"/>
    <mergeCell ref="G7:H7"/>
    <mergeCell ref="D2:F2"/>
    <mergeCell ref="D3:F3"/>
    <mergeCell ref="D4:F4"/>
    <mergeCell ref="D5:F5"/>
    <mergeCell ref="D7:F7"/>
    <mergeCell ref="E50:F50"/>
    <mergeCell ref="A49:C49"/>
    <mergeCell ref="A50:C50"/>
    <mergeCell ref="A44:I44"/>
    <mergeCell ref="E45:F45"/>
    <mergeCell ref="E46:F46"/>
    <mergeCell ref="E47:F47"/>
    <mergeCell ref="E48:F48"/>
    <mergeCell ref="E49:F49"/>
    <mergeCell ref="A46:C46"/>
    <mergeCell ref="A47:C47"/>
    <mergeCell ref="A48:C48"/>
    <mergeCell ref="A1:K1"/>
    <mergeCell ref="A21:B21"/>
    <mergeCell ref="A22:B22"/>
    <mergeCell ref="A23:B23"/>
    <mergeCell ref="A24:B24"/>
    <mergeCell ref="A3:C3"/>
    <mergeCell ref="A2:C2"/>
    <mergeCell ref="A4:C4"/>
    <mergeCell ref="A5:C5"/>
    <mergeCell ref="A6:C6"/>
    <mergeCell ref="A15:C15"/>
    <mergeCell ref="A16:C16"/>
    <mergeCell ref="A17:C17"/>
    <mergeCell ref="I2:K2"/>
    <mergeCell ref="I3:K3"/>
    <mergeCell ref="I4:K4"/>
    <mergeCell ref="A42:C42"/>
    <mergeCell ref="A40:C40"/>
    <mergeCell ref="A25:B25"/>
    <mergeCell ref="A26:B26"/>
    <mergeCell ref="A27:B27"/>
    <mergeCell ref="A28:B28"/>
    <mergeCell ref="A29:B29"/>
    <mergeCell ref="A41:C41"/>
    <mergeCell ref="A34:B34"/>
    <mergeCell ref="A35:B35"/>
  </mergeCells>
  <conditionalFormatting sqref="E21">
    <cfRule type="cellIs" dxfId="13" priority="11" operator="greaterThan">
      <formula>$D21</formula>
    </cfRule>
    <cfRule type="cellIs" dxfId="12" priority="15" operator="lessThanOrEqual">
      <formula>$D21</formula>
    </cfRule>
  </conditionalFormatting>
  <conditionalFormatting sqref="E28">
    <cfRule type="cellIs" dxfId="11" priority="13" operator="greaterThan">
      <formula>$D$28</formula>
    </cfRule>
  </conditionalFormatting>
  <conditionalFormatting sqref="E29">
    <cfRule type="cellIs" dxfId="10" priority="12" operator="greaterThan">
      <formula>$D$29</formula>
    </cfRule>
  </conditionalFormatting>
  <conditionalFormatting sqref="E24:E27">
    <cfRule type="cellIs" dxfId="9" priority="9" operator="greaterThan">
      <formula>$D24</formula>
    </cfRule>
    <cfRule type="cellIs" dxfId="8" priority="10" operator="lessThanOrEqual">
      <formula>$D24</formula>
    </cfRule>
  </conditionalFormatting>
  <conditionalFormatting sqref="D17:I17">
    <cfRule type="cellIs" dxfId="7" priority="7" operator="equal">
      <formula>"NC"</formula>
    </cfRule>
    <cfRule type="cellIs" dxfId="6" priority="8" operator="equal">
      <formula>"C"</formula>
    </cfRule>
  </conditionalFormatting>
  <conditionalFormatting sqref="D42:I42">
    <cfRule type="cellIs" dxfId="5" priority="5" operator="equal">
      <formula>"NC"</formula>
    </cfRule>
    <cfRule type="cellIs" dxfId="4" priority="6" operator="equal">
      <formula>"C"</formula>
    </cfRule>
  </conditionalFormatting>
  <conditionalFormatting sqref="I6:K6">
    <cfRule type="containsText" dxfId="3" priority="4" operator="containsText" text="CONFORME">
      <formula>NOT(ISERROR(SEARCH("CONFORME",I6)))</formula>
    </cfRule>
    <cfRule type="containsText" dxfId="2" priority="3" operator="containsText" text="NON">
      <formula>NOT(ISERROR(SEARCH("NON",I6)))</formula>
    </cfRule>
  </conditionalFormatting>
  <conditionalFormatting sqref="I7:K7">
    <cfRule type="containsText" dxfId="1" priority="1" operator="containsText" text="NON">
      <formula>NOT(ISERROR(SEARCH("NON",I7)))</formula>
    </cfRule>
    <cfRule type="containsText" dxfId="0" priority="2" operator="containsText" text="CONFORME">
      <formula>NOT(ISERROR(SEARCH("CONFORME",I7)))</formula>
    </cfRule>
  </conditionalFormatting>
  <pageMargins left="0.25" right="0.25" top="0.75" bottom="0.75" header="0.3" footer="0.3"/>
  <pageSetup paperSize="9"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13</vt:i4>
      </vt:variant>
    </vt:vector>
  </HeadingPairs>
  <TitlesOfParts>
    <vt:vector size="14" baseType="lpstr">
      <vt:lpstr>étalonnage</vt:lpstr>
      <vt:lpstr>b_0</vt:lpstr>
      <vt:lpstr>b_1</vt:lpstr>
      <vt:lpstr>Biais</vt:lpstr>
      <vt:lpstr>biais_2</vt:lpstr>
      <vt:lpstr>Cp</vt:lpstr>
      <vt:lpstr>Cpk</vt:lpstr>
      <vt:lpstr>EMT_1</vt:lpstr>
      <vt:lpstr>EMT_2</vt:lpstr>
      <vt:lpstr>q_1</vt:lpstr>
      <vt:lpstr>Sads</vt:lpstr>
      <vt:lpstr>Setalon</vt:lpstr>
      <vt:lpstr>Som_var</vt:lpstr>
      <vt:lpstr>étalonnage!Zone_d_impression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P</dc:creator>
  <cp:lastModifiedBy>Gregory P</cp:lastModifiedBy>
  <cp:lastPrinted>2025-11-01T15:32:02Z</cp:lastPrinted>
  <dcterms:created xsi:type="dcterms:W3CDTF">2025-10-29T14:34:16Z</dcterms:created>
  <dcterms:modified xsi:type="dcterms:W3CDTF">2025-11-01T15:34:29Z</dcterms:modified>
</cp:coreProperties>
</file>